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X1 carbon\Desktop\salderingswijzer\.claude\worktrees\distracted-napier-30bc72\public\downloads\"/>
    </mc:Choice>
  </mc:AlternateContent>
  <xr:revisionPtr revIDLastSave="0" documentId="13_ncr:1_{B7531D87-AA69-4081-AE6C-A9A39F3DD6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en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D27" i="1"/>
  <c r="C27" i="1"/>
  <c r="D23" i="1"/>
  <c r="C23" i="1"/>
  <c r="C24" i="1" s="1"/>
  <c r="C25" i="1" s="1"/>
  <c r="C26" i="1" s="1"/>
  <c r="C28" i="1" l="1"/>
  <c r="C29" i="1"/>
  <c r="D24" i="1"/>
  <c r="D25" i="1" s="1"/>
  <c r="D26" i="1" s="1"/>
  <c r="C31" i="1" l="1"/>
  <c r="D29" i="1"/>
  <c r="D28" i="1"/>
  <c r="D31" i="1" s="1"/>
  <c r="C42" i="1"/>
  <c r="E42" i="1" s="1"/>
  <c r="C34" i="1"/>
  <c r="D42" i="1" l="1"/>
  <c r="C54" i="1"/>
  <c r="C46" i="1"/>
  <c r="C51" i="1"/>
  <c r="C43" i="1"/>
  <c r="E43" i="1" s="1"/>
  <c r="C56" i="1"/>
  <c r="C48" i="1"/>
  <c r="C53" i="1"/>
  <c r="C45" i="1"/>
  <c r="C50" i="1"/>
  <c r="C47" i="1"/>
  <c r="C55" i="1"/>
  <c r="C52" i="1"/>
  <c r="C44" i="1"/>
  <c r="D34" i="1"/>
  <c r="C49" i="1"/>
  <c r="D43" i="1" l="1"/>
  <c r="E44" i="1"/>
  <c r="E45" i="1" l="1"/>
  <c r="D44" i="1"/>
  <c r="D45" i="1" l="1"/>
  <c r="E46" i="1"/>
  <c r="E47" i="1" l="1"/>
  <c r="D46" i="1"/>
  <c r="E48" i="1" l="1"/>
  <c r="D47" i="1"/>
  <c r="D48" i="1" l="1"/>
  <c r="E49" i="1"/>
  <c r="E50" i="1" l="1"/>
  <c r="D49" i="1"/>
  <c r="D50" i="1" l="1"/>
  <c r="E51" i="1"/>
  <c r="D51" i="1" l="1"/>
  <c r="E52" i="1"/>
  <c r="E53" i="1" l="1"/>
  <c r="D52" i="1"/>
  <c r="D53" i="1" l="1"/>
  <c r="E54" i="1"/>
  <c r="E55" i="1" l="1"/>
  <c r="D54" i="1"/>
  <c r="E56" i="1" l="1"/>
  <c r="D56" i="1" s="1"/>
  <c r="C35" i="1" s="1"/>
  <c r="D55" i="1"/>
</calcChain>
</file>

<file path=xl/sharedStrings.xml><?xml version="1.0" encoding="utf-8"?>
<sst xmlns="http://schemas.openxmlformats.org/spreadsheetml/2006/main" count="54" uniqueCount="54">
  <si>
    <t>Terugverdientijd thuisbatterij — rekenmodel 2026</t>
  </si>
  <si>
    <t>Gratis rekenmodel van Salderingswijzer.nl — blauwe cellen zijn invoer, zwarte cellen rekenen automatisch.</t>
  </si>
  <si>
    <t>1. Jouw situatie (pas de blauwe waarden aan)</t>
  </si>
  <si>
    <t>Jaarverbruik stroom</t>
  </si>
  <si>
    <t>Staat op je jaarafrekening</t>
  </si>
  <si>
    <t>Piekvermogen zonnepanelen (Wp)</t>
  </si>
  <si>
    <t>Aantal panelen × Wp per paneel</t>
  </si>
  <si>
    <t>Opbrengst per kWp per jaar</t>
  </si>
  <si>
    <t>NL-gemiddelde: 920 kWh/kWp</t>
  </si>
  <si>
    <t>Batterijcapaciteit</t>
  </si>
  <si>
    <t>Bruikbare capaciteit</t>
  </si>
  <si>
    <t>Aanschafprijs incl. installatie</t>
  </si>
  <si>
    <t>Gemiddelde marktprijs 10 kWh, juli 2026</t>
  </si>
  <si>
    <t>Dynamisch contract? (1 = ja, 0 = nee)</t>
  </si>
  <si>
    <t>Arbitrage telt alleen mee bij dynamisch</t>
  </si>
  <si>
    <t>Inkoopprijs stroom (incl. belasting)</t>
  </si>
  <si>
    <t>Gemiddeld €0,28–€0,33/kWh in 2026</t>
  </si>
  <si>
    <t>Terugleverkosten leverancier</t>
  </si>
  <si>
    <t>€0,02–€0,04/kWh; 0 als jouw leverancier niets rekent</t>
  </si>
  <si>
    <t>Terugleverwaarde na saldering (2027+)</t>
  </si>
  <si>
    <t>Gewogen EPEX-middagvenster 2025–2026</t>
  </si>
  <si>
    <t>Arbitragemarge per kWh (dynamisch)</t>
  </si>
  <si>
    <t>Verschil duurste/goedkoopste uren, 2026: €0,08–€0,15</t>
  </si>
  <si>
    <t>Volle cycli per jaar</t>
  </si>
  <si>
    <t>Realistisch bij dagelijkse cyclus</t>
  </si>
  <si>
    <t>Round-trip efficiëntie</t>
  </si>
  <si>
    <t>Li-ion: 88–92%</t>
  </si>
  <si>
    <t>Degradatie per jaar</t>
  </si>
  <si>
    <t>Capaciteitsverlies: 1–2%/jaar</t>
  </si>
  <si>
    <t>2. Jaaropbrengst van de batterij (rekent automatisch)</t>
  </si>
  <si>
    <t>Kolommen: met saldering (t/m 2026) vs. na saldering (vanaf 2027)</t>
  </si>
  <si>
    <t>Mét saldering</t>
  </si>
  <si>
    <t>Na saldering</t>
  </si>
  <si>
    <t>Zonopwek per jaar</t>
  </si>
  <si>
    <t>Direct eigenverbruik zon (30%)</t>
  </si>
  <si>
    <t>Overschot zon (naar net of batterij)</t>
  </si>
  <si>
    <t>Verschuifbaar via batterij</t>
  </si>
  <si>
    <t>Terugleverwaarde per kWh</t>
  </si>
  <si>
    <t>① Besparing eigenverbruik</t>
  </si>
  <si>
    <t>② Vermeden terugleverkosten</t>
  </si>
  <si>
    <t>③ Arbitrage (alleen dynamisch)</t>
  </si>
  <si>
    <t>Totale jaaropbrengst (jaar 1)</t>
  </si>
  <si>
    <t>3. Resultaat</t>
  </si>
  <si>
    <t>Terugverdientijd (simpel, jaar-1-opbrengst)</t>
  </si>
  <si>
    <t>Terugverdientijd (realistisch, zie jaartabel)</t>
  </si>
  <si>
    <t>Incl. degradatie én regime-wissel 2027</t>
  </si>
  <si>
    <t>Let op: koop je de batterij in 2026, dan geldt kolom 'mét saldering' alleen nog dit jaar — vanaf 2027 rekent iedereen met de rechterkolom.</t>
  </si>
  <si>
    <t>4. Jaar-op-jaar (2026 = saldering, vanaf 2027 = EPEX-terugleverwaarde, incl. degradatie)</t>
  </si>
  <si>
    <t>Jaar</t>
  </si>
  <si>
    <t>Opbrengst</t>
  </si>
  <si>
    <t>Terugverdiend?</t>
  </si>
  <si>
    <t>Cumulatief</t>
  </si>
  <si>
    <t>Bron &amp; actuele cijfers: www.salderingswijzer.nl/calculator — daar staat ook de online simulator met actuele EPEX-prijzen.</t>
  </si>
  <si>
    <t>Aannames prijspeil juli 2026. Dit model geeft een indicatie, geen garantie. Vrij te delen met bronvermelding.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</si>
</sst>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\ &quot;kWh&quot;"/>
    <numFmt numFmtId="165" formatCode="#,##0\ &quot;Wp&quot;"/>
    <numFmt numFmtId="166" formatCode="0.0\ &quot;kWh&quot;"/>
    <numFmt numFmtId="167" formatCode="\€\ #,##0;\(\€\ #,##0\);&quot;-&quot;"/>
    <numFmt numFmtId="168" formatCode="\€\ 0.0000"/>
    <numFmt numFmtId="169" formatCode="0.0%"/>
    <numFmt numFmtId="170" formatCode="0.0\ &quot;jaar&quot;"/>
    <numFmt numFmtId="171" formatCode="0\ &quot;jaar&quot;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i/>
      <sz val="9"/>
      <color rgb="FF666666"/>
      <name val="Arial"/>
    </font>
    <font>
      <b/>
      <sz val="11"/>
      <color rgb="FF0B2545"/>
      <name val="Arial"/>
    </font>
    <font>
      <sz val="10"/>
      <color rgb="FF000000"/>
      <name val="Arial"/>
    </font>
    <font>
      <sz val="10"/>
      <color rgb="FF0000FF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B2545"/>
      </patternFill>
    </fill>
    <fill>
      <patternFill patternType="solid">
        <fgColor rgb="FFEEF4F8"/>
      </patternFill>
    </fill>
    <fill>
      <patternFill patternType="solid">
        <fgColor rgb="FF9CE37D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68" fontId="5" fillId="0" borderId="1" xfId="0" applyNumberFormat="1" applyFont="1" applyBorder="1" applyAlignment="1">
      <alignment horizontal="right"/>
    </xf>
    <xf numFmtId="169" fontId="5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8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0" fontId="6" fillId="0" borderId="0" xfId="0" applyFont="1"/>
    <xf numFmtId="167" fontId="6" fillId="0" borderId="1" xfId="0" applyNumberFormat="1" applyFont="1" applyBorder="1" applyAlignment="1">
      <alignment horizontal="right"/>
    </xf>
    <xf numFmtId="170" fontId="6" fillId="4" borderId="1" xfId="0" applyNumberFormat="1" applyFont="1" applyFill="1" applyBorder="1" applyAlignment="1">
      <alignment horizontal="right"/>
    </xf>
    <xf numFmtId="171" fontId="6" fillId="4" borderId="1" xfId="0" applyNumberFormat="1" applyFont="1" applyFill="1" applyBorder="1" applyAlignment="1">
      <alignment horizontal="right"/>
    </xf>
    <xf numFmtId="1" fontId="4" fillId="0" borderId="0" xfId="0" applyNumberFormat="1" applyFont="1"/>
    <xf numFmtId="0" fontId="4" fillId="0" borderId="1" xfId="0" applyFont="1" applyBorder="1" applyAlignment="1">
      <alignment horizontal="right"/>
    </xf>
    <xf numFmtId="0" fontId="3" fillId="3" borderId="0" xfId="0" applyFont="1" applyFill="1"/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lderingswijzer.nl/calculator?utm_source=excel&amp;utm_medium=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9"/>
  <sheetViews>
    <sheetView showGridLines="0" tabSelected="1" workbookViewId="0"/>
  </sheetViews>
  <sheetFormatPr defaultRowHeight="15" x14ac:dyDescent="0.25"/>
  <cols>
    <col min="1" max="1" width="2" customWidth="1"/>
    <col min="2" max="2" width="44" customWidth="1"/>
    <col min="3" max="4" width="16" customWidth="1"/>
    <col min="5" max="5" width="30" customWidth="1"/>
    <col min="6" max="6" width="2" customWidth="1"/>
  </cols>
  <sheetData>
    <row r="2" spans="2:5" ht="24" customHeight="1" x14ac:dyDescent="0.25">
      <c r="B2" s="23" t="s">
        <v>0</v>
      </c>
      <c r="C2" s="24"/>
      <c r="D2" s="24"/>
      <c r="E2" s="24"/>
    </row>
    <row r="3" spans="2:5" x14ac:dyDescent="0.25">
      <c r="B3" s="22" t="s">
        <v>1</v>
      </c>
      <c r="C3" s="21"/>
      <c r="D3" s="21"/>
      <c r="E3" s="21"/>
    </row>
    <row r="5" spans="2:5" x14ac:dyDescent="0.25">
      <c r="B5" s="20" t="s">
        <v>2</v>
      </c>
      <c r="C5" s="21"/>
      <c r="D5" s="21"/>
      <c r="E5" s="21"/>
    </row>
    <row r="6" spans="2:5" x14ac:dyDescent="0.25">
      <c r="B6" s="2" t="s">
        <v>3</v>
      </c>
      <c r="C6" s="3">
        <v>3000</v>
      </c>
      <c r="E6" s="1" t="s">
        <v>4</v>
      </c>
    </row>
    <row r="7" spans="2:5" x14ac:dyDescent="0.25">
      <c r="B7" s="2" t="s">
        <v>5</v>
      </c>
      <c r="C7" s="4">
        <v>3600</v>
      </c>
      <c r="E7" s="1" t="s">
        <v>6</v>
      </c>
    </row>
    <row r="8" spans="2:5" x14ac:dyDescent="0.25">
      <c r="B8" s="2" t="s">
        <v>7</v>
      </c>
      <c r="C8" s="3">
        <v>920</v>
      </c>
      <c r="E8" s="1" t="s">
        <v>8</v>
      </c>
    </row>
    <row r="9" spans="2:5" x14ac:dyDescent="0.25">
      <c r="B9" s="2" t="s">
        <v>9</v>
      </c>
      <c r="C9" s="5">
        <v>10</v>
      </c>
      <c r="E9" s="1" t="s">
        <v>10</v>
      </c>
    </row>
    <row r="10" spans="2:5" x14ac:dyDescent="0.25">
      <c r="B10" s="2" t="s">
        <v>11</v>
      </c>
      <c r="C10" s="6">
        <v>4500</v>
      </c>
      <c r="E10" s="1" t="s">
        <v>12</v>
      </c>
    </row>
    <row r="11" spans="2:5" x14ac:dyDescent="0.25">
      <c r="B11" s="2" t="s">
        <v>13</v>
      </c>
      <c r="C11" s="7">
        <v>1</v>
      </c>
      <c r="E11" s="1" t="s">
        <v>14</v>
      </c>
    </row>
    <row r="12" spans="2:5" x14ac:dyDescent="0.25">
      <c r="B12" s="2" t="s">
        <v>15</v>
      </c>
      <c r="C12" s="8">
        <v>0.3</v>
      </c>
      <c r="E12" s="1" t="s">
        <v>16</v>
      </c>
    </row>
    <row r="13" spans="2:5" x14ac:dyDescent="0.25">
      <c r="B13" s="2" t="s">
        <v>17</v>
      </c>
      <c r="C13" s="8">
        <v>0.02</v>
      </c>
      <c r="E13" s="1" t="s">
        <v>18</v>
      </c>
    </row>
    <row r="14" spans="2:5" x14ac:dyDescent="0.25">
      <c r="B14" s="2" t="s">
        <v>19</v>
      </c>
      <c r="C14" s="8">
        <v>0.06</v>
      </c>
      <c r="E14" s="1" t="s">
        <v>20</v>
      </c>
    </row>
    <row r="15" spans="2:5" x14ac:dyDescent="0.25">
      <c r="B15" s="2" t="s">
        <v>21</v>
      </c>
      <c r="C15" s="8">
        <v>0.11</v>
      </c>
      <c r="E15" s="1" t="s">
        <v>22</v>
      </c>
    </row>
    <row r="16" spans="2:5" x14ac:dyDescent="0.25">
      <c r="B16" s="2" t="s">
        <v>23</v>
      </c>
      <c r="C16" s="7">
        <v>250</v>
      </c>
      <c r="E16" s="1" t="s">
        <v>24</v>
      </c>
    </row>
    <row r="17" spans="2:5" x14ac:dyDescent="0.25">
      <c r="B17" s="2" t="s">
        <v>25</v>
      </c>
      <c r="C17" s="9">
        <v>0.9</v>
      </c>
      <c r="E17" s="1" t="s">
        <v>26</v>
      </c>
    </row>
    <row r="18" spans="2:5" x14ac:dyDescent="0.25">
      <c r="B18" s="2" t="s">
        <v>27</v>
      </c>
      <c r="C18" s="9">
        <v>1.4999999999999999E-2</v>
      </c>
      <c r="E18" s="1" t="s">
        <v>28</v>
      </c>
    </row>
    <row r="20" spans="2:5" x14ac:dyDescent="0.25">
      <c r="B20" s="20" t="s">
        <v>29</v>
      </c>
      <c r="C20" s="21"/>
      <c r="D20" s="21"/>
      <c r="E20" s="21"/>
    </row>
    <row r="21" spans="2:5" x14ac:dyDescent="0.25">
      <c r="B21" s="1" t="s">
        <v>30</v>
      </c>
    </row>
    <row r="22" spans="2:5" x14ac:dyDescent="0.25">
      <c r="C22" s="10" t="s">
        <v>31</v>
      </c>
      <c r="D22" s="10" t="s">
        <v>32</v>
      </c>
    </row>
    <row r="23" spans="2:5" x14ac:dyDescent="0.25">
      <c r="B23" s="2" t="s">
        <v>33</v>
      </c>
      <c r="C23" s="11">
        <f>$C$7/1000*$C$8</f>
        <v>3312</v>
      </c>
      <c r="D23" s="11">
        <f>$C$7/1000*$C$8</f>
        <v>3312</v>
      </c>
    </row>
    <row r="24" spans="2:5" x14ac:dyDescent="0.25">
      <c r="B24" s="2" t="s">
        <v>34</v>
      </c>
      <c r="C24" s="11">
        <f>0.3*C23</f>
        <v>993.59999999999991</v>
      </c>
      <c r="D24" s="11">
        <f>0.3*D23</f>
        <v>993.59999999999991</v>
      </c>
    </row>
    <row r="25" spans="2:5" x14ac:dyDescent="0.25">
      <c r="B25" s="2" t="s">
        <v>35</v>
      </c>
      <c r="C25" s="11">
        <f>C23-C24</f>
        <v>2318.4</v>
      </c>
      <c r="D25" s="11">
        <f>D23-D24</f>
        <v>2318.4</v>
      </c>
    </row>
    <row r="26" spans="2:5" x14ac:dyDescent="0.25">
      <c r="B26" s="2" t="s">
        <v>36</v>
      </c>
      <c r="C26" s="11">
        <f>MIN(C25,$C$9*$C$16*$C$17)</f>
        <v>2250</v>
      </c>
      <c r="D26" s="11">
        <f>MIN(D25,$C$9*$C$16*$C$17)</f>
        <v>2250</v>
      </c>
    </row>
    <row r="27" spans="2:5" x14ac:dyDescent="0.25">
      <c r="B27" s="2" t="s">
        <v>37</v>
      </c>
      <c r="C27" s="12">
        <f>$C$12</f>
        <v>0.3</v>
      </c>
      <c r="D27" s="12">
        <f>$C$14</f>
        <v>0.06</v>
      </c>
    </row>
    <row r="28" spans="2:5" x14ac:dyDescent="0.25">
      <c r="B28" s="2" t="s">
        <v>38</v>
      </c>
      <c r="C28" s="13">
        <f>C26*($C$12-C27)</f>
        <v>0</v>
      </c>
      <c r="D28" s="13">
        <f>D26*($C$12-D27)</f>
        <v>540</v>
      </c>
    </row>
    <row r="29" spans="2:5" x14ac:dyDescent="0.25">
      <c r="B29" s="2" t="s">
        <v>39</v>
      </c>
      <c r="C29" s="13">
        <f>C26*$C$13</f>
        <v>45</v>
      </c>
      <c r="D29" s="13">
        <f>D26*$C$13</f>
        <v>45</v>
      </c>
    </row>
    <row r="30" spans="2:5" x14ac:dyDescent="0.25">
      <c r="B30" s="2" t="s">
        <v>40</v>
      </c>
      <c r="C30" s="13">
        <f>$C$11*$C$9*$C$16*$C$15*$C$17</f>
        <v>247.5</v>
      </c>
      <c r="D30" s="13">
        <f>$C$11*$C$9*$C$16*$C$15*$C$17</f>
        <v>247.5</v>
      </c>
    </row>
    <row r="31" spans="2:5" x14ac:dyDescent="0.25">
      <c r="B31" s="14" t="s">
        <v>41</v>
      </c>
      <c r="C31" s="15">
        <f>SUM(C28:C30)</f>
        <v>292.5</v>
      </c>
      <c r="D31" s="15">
        <f>SUM(D28:D30)</f>
        <v>832.5</v>
      </c>
    </row>
    <row r="33" spans="2:5" x14ac:dyDescent="0.25">
      <c r="B33" s="20" t="s">
        <v>42</v>
      </c>
      <c r="C33" s="21"/>
      <c r="D33" s="21"/>
      <c r="E33" s="21"/>
    </row>
    <row r="34" spans="2:5" x14ac:dyDescent="0.25">
      <c r="B34" s="14" t="s">
        <v>43</v>
      </c>
      <c r="C34" s="16">
        <f>IF(C31&lt;=0,"n.v.t.",$C$10/C31)</f>
        <v>15.384615384615385</v>
      </c>
      <c r="D34" s="16">
        <f>IF(D31&lt;=0,"n.v.t.",$C$10/D31)</f>
        <v>5.4054054054054053</v>
      </c>
    </row>
    <row r="35" spans="2:5" x14ac:dyDescent="0.25">
      <c r="B35" s="14" t="s">
        <v>44</v>
      </c>
      <c r="C35" s="17">
        <f>IF(COUNTIF($D$42:$D$56,"ja")=0,"&gt;15 jaar",INDEX($B$42:$B$56,MATCH("ja",$D$42:$D$56,0))-2025)</f>
        <v>7</v>
      </c>
      <c r="E35" s="1" t="s">
        <v>45</v>
      </c>
    </row>
    <row r="36" spans="2:5" x14ac:dyDescent="0.25">
      <c r="B36" s="1" t="s">
        <v>46</v>
      </c>
    </row>
    <row r="38" spans="2:5" x14ac:dyDescent="0.25">
      <c r="B38" s="20" t="s">
        <v>47</v>
      </c>
      <c r="C38" s="21"/>
      <c r="D38" s="21"/>
      <c r="E38" s="21"/>
    </row>
    <row r="41" spans="2:5" x14ac:dyDescent="0.25">
      <c r="B41" s="14" t="s">
        <v>48</v>
      </c>
      <c r="C41" s="10" t="s">
        <v>49</v>
      </c>
      <c r="D41" s="10" t="s">
        <v>50</v>
      </c>
      <c r="E41" s="10" t="s">
        <v>51</v>
      </c>
    </row>
    <row r="42" spans="2:5" x14ac:dyDescent="0.25">
      <c r="B42" s="18">
        <v>2026</v>
      </c>
      <c r="C42" s="13">
        <f>C$31*(1-$C$18)^0</f>
        <v>292.5</v>
      </c>
      <c r="D42" s="19" t="str">
        <f t="shared" ref="D42:D56" si="0">IF(E42&gt;=$C$10,"ja","nee")</f>
        <v>nee</v>
      </c>
      <c r="E42" s="13">
        <f>C42</f>
        <v>292.5</v>
      </c>
    </row>
    <row r="43" spans="2:5" x14ac:dyDescent="0.25">
      <c r="B43" s="18">
        <v>2027</v>
      </c>
      <c r="C43" s="13">
        <f>D$31*(1-$C$18)^1</f>
        <v>820.01250000000005</v>
      </c>
      <c r="D43" s="19" t="str">
        <f t="shared" si="0"/>
        <v>nee</v>
      </c>
      <c r="E43" s="13">
        <f t="shared" ref="E43:E56" si="1">E42+C43</f>
        <v>1112.5125</v>
      </c>
    </row>
    <row r="44" spans="2:5" x14ac:dyDescent="0.25">
      <c r="B44" s="18">
        <v>2028</v>
      </c>
      <c r="C44" s="13">
        <f>D$31*(1-$C$18)^2</f>
        <v>807.71231250000005</v>
      </c>
      <c r="D44" s="19" t="str">
        <f t="shared" si="0"/>
        <v>nee</v>
      </c>
      <c r="E44" s="13">
        <f t="shared" si="1"/>
        <v>1920.2248125000001</v>
      </c>
    </row>
    <row r="45" spans="2:5" x14ac:dyDescent="0.25">
      <c r="B45" s="18">
        <v>2029</v>
      </c>
      <c r="C45" s="13">
        <f>D$31*(1-$C$18)^3</f>
        <v>795.59662781250006</v>
      </c>
      <c r="D45" s="19" t="str">
        <f t="shared" si="0"/>
        <v>nee</v>
      </c>
      <c r="E45" s="13">
        <f t="shared" si="1"/>
        <v>2715.8214403125003</v>
      </c>
    </row>
    <row r="46" spans="2:5" x14ac:dyDescent="0.25">
      <c r="B46" s="18">
        <v>2030</v>
      </c>
      <c r="C46" s="13">
        <f>D$31*(1-$C$18)^4</f>
        <v>783.66267839531247</v>
      </c>
      <c r="D46" s="19" t="str">
        <f t="shared" si="0"/>
        <v>nee</v>
      </c>
      <c r="E46" s="13">
        <f t="shared" si="1"/>
        <v>3499.4841187078127</v>
      </c>
    </row>
    <row r="47" spans="2:5" x14ac:dyDescent="0.25">
      <c r="B47" s="18">
        <v>2031</v>
      </c>
      <c r="C47" s="13">
        <f>D$31*(1-$C$18)^5</f>
        <v>771.90773821938285</v>
      </c>
      <c r="D47" s="19" t="str">
        <f t="shared" si="0"/>
        <v>nee</v>
      </c>
      <c r="E47" s="13">
        <f t="shared" si="1"/>
        <v>4271.3918569271955</v>
      </c>
    </row>
    <row r="48" spans="2:5" x14ac:dyDescent="0.25">
      <c r="B48" s="18">
        <v>2032</v>
      </c>
      <c r="C48" s="13">
        <f>D$31*(1-$C$18)^6</f>
        <v>760.32912214609212</v>
      </c>
      <c r="D48" s="19" t="str">
        <f t="shared" si="0"/>
        <v>ja</v>
      </c>
      <c r="E48" s="13">
        <f t="shared" si="1"/>
        <v>5031.7209790732877</v>
      </c>
    </row>
    <row r="49" spans="2:5" x14ac:dyDescent="0.25">
      <c r="B49" s="18">
        <v>2033</v>
      </c>
      <c r="C49" s="13">
        <f>D$31*(1-$C$18)^7</f>
        <v>748.92418531390069</v>
      </c>
      <c r="D49" s="19" t="str">
        <f t="shared" si="0"/>
        <v>ja</v>
      </c>
      <c r="E49" s="13">
        <f t="shared" si="1"/>
        <v>5780.6451643871887</v>
      </c>
    </row>
    <row r="50" spans="2:5" x14ac:dyDescent="0.25">
      <c r="B50" s="18">
        <v>2034</v>
      </c>
      <c r="C50" s="13">
        <f>D$31*(1-$C$18)^8</f>
        <v>737.69032253419221</v>
      </c>
      <c r="D50" s="19" t="str">
        <f t="shared" si="0"/>
        <v>ja</v>
      </c>
      <c r="E50" s="13">
        <f t="shared" si="1"/>
        <v>6518.3354869213808</v>
      </c>
    </row>
    <row r="51" spans="2:5" x14ac:dyDescent="0.25">
      <c r="B51" s="18">
        <v>2035</v>
      </c>
      <c r="C51" s="13">
        <f>D$31*(1-$C$18)^9</f>
        <v>726.62496769617928</v>
      </c>
      <c r="D51" s="19" t="str">
        <f t="shared" si="0"/>
        <v>ja</v>
      </c>
      <c r="E51" s="13">
        <f t="shared" si="1"/>
        <v>7244.9604546175597</v>
      </c>
    </row>
    <row r="52" spans="2:5" x14ac:dyDescent="0.25">
      <c r="B52" s="18">
        <v>2036</v>
      </c>
      <c r="C52" s="13">
        <f>D$31*(1-$C$18)^10</f>
        <v>715.72559318073661</v>
      </c>
      <c r="D52" s="19" t="str">
        <f t="shared" si="0"/>
        <v>ja</v>
      </c>
      <c r="E52" s="13">
        <f t="shared" si="1"/>
        <v>7960.6860477982964</v>
      </c>
    </row>
    <row r="53" spans="2:5" x14ac:dyDescent="0.25">
      <c r="B53" s="18">
        <v>2037</v>
      </c>
      <c r="C53" s="13">
        <f>D$31*(1-$C$18)^11</f>
        <v>704.9897092830256</v>
      </c>
      <c r="D53" s="19" t="str">
        <f t="shared" si="0"/>
        <v>ja</v>
      </c>
      <c r="E53" s="13">
        <f t="shared" si="1"/>
        <v>8665.6757570813224</v>
      </c>
    </row>
    <row r="54" spans="2:5" x14ac:dyDescent="0.25">
      <c r="B54" s="18">
        <v>2038</v>
      </c>
      <c r="C54" s="13">
        <f>D$31*(1-$C$18)^12</f>
        <v>694.41486364378022</v>
      </c>
      <c r="D54" s="19" t="str">
        <f t="shared" si="0"/>
        <v>ja</v>
      </c>
      <c r="E54" s="13">
        <f t="shared" si="1"/>
        <v>9360.0906207251028</v>
      </c>
    </row>
    <row r="55" spans="2:5" x14ac:dyDescent="0.25">
      <c r="B55" s="18">
        <v>2039</v>
      </c>
      <c r="C55" s="13">
        <f>D$31*(1-$C$18)^13</f>
        <v>683.99864068912348</v>
      </c>
      <c r="D55" s="19" t="str">
        <f t="shared" si="0"/>
        <v>ja</v>
      </c>
      <c r="E55" s="13">
        <f t="shared" si="1"/>
        <v>10044.089261414227</v>
      </c>
    </row>
    <row r="56" spans="2:5" x14ac:dyDescent="0.25">
      <c r="B56" s="18">
        <v>2040</v>
      </c>
      <c r="C56" s="13">
        <f>D$31*(1-$C$18)^14</f>
        <v>673.73866107878666</v>
      </c>
      <c r="D56" s="19" t="str">
        <f t="shared" si="0"/>
        <v>ja</v>
      </c>
      <c r="E56" s="13">
        <f t="shared" si="1"/>
        <v>10717.827922493014</v>
      </c>
    </row>
    <row r="58" spans="2:5" x14ac:dyDescent="0.25">
      <c r="B58" s="22" t="s">
        <v>52</v>
      </c>
      <c r="C58" s="21"/>
      <c r="D58" s="21"/>
      <c r="E58" s="21"/>
    </row>
    <row r="59" spans="2:5" x14ac:dyDescent="0.25">
      <c r="B59" s="22" t="s">
        <v>53</v>
      </c>
      <c r="C59" s="21"/>
      <c r="D59" s="21"/>
      <c r="E59" s="21"/>
    </row>
  </sheetData>
  <mergeCells count="8">
    <mergeCell ref="B2:E2"/>
    <mergeCell ref="B59:E59"/>
    <mergeCell ref="B20:E20"/>
    <mergeCell ref="B58:E58"/>
    <mergeCell ref="B38:E38"/>
    <mergeCell ref="B33:E33"/>
    <mergeCell ref="B3:E3"/>
    <mergeCell ref="B5:E5"/>
  </mergeCells>
  <hyperlinks>
    <hyperlink ref="B58" r:id="rId1" xr:uid="{00000000-0004-0000-00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Joris Kroeske</cp:lastModifiedBy>
  <dcterms:created xsi:type="dcterms:W3CDTF">2026-07-04T13:57:02Z</dcterms:created>
  <dcterms:modified xsi:type="dcterms:W3CDTF">2026-07-04T13:57:44Z</dcterms:modified>
</cp:coreProperties>
</file>